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sa\Desktop\"/>
    </mc:Choice>
  </mc:AlternateContent>
  <xr:revisionPtr revIDLastSave="0" documentId="13_ncr:1_{D9129DE5-0E6A-43CD-9E17-3737CC18ED27}" xr6:coauthVersionLast="47" xr6:coauthVersionMax="47" xr10:uidLastSave="{00000000-0000-0000-0000-000000000000}"/>
  <bookViews>
    <workbookView xWindow="-110" yWindow="-110" windowWidth="19420" windowHeight="11020" xr2:uid="{E9F3E505-516C-48A1-8F78-D5B2A2812618}"/>
  </bookViews>
  <sheets>
    <sheet name="Cálculo ingresos reales" sheetId="2" r:id="rId1"/>
    <sheet name=" Cuotas autónomo individual" sheetId="1" r:id="rId2"/>
    <sheet name=" Cuotas autónomo societari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4" l="1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E6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/>
  <c r="F6" i="2" l="1"/>
  <c r="F3" i="2"/>
  <c r="G3" i="2" l="1"/>
  <c r="H3" i="2" s="1"/>
  <c r="G6" i="2" s="1"/>
  <c r="I3" i="2" l="1"/>
  <c r="B7" i="1" s="1"/>
  <c r="B19" i="1" l="1"/>
  <c r="D19" i="1" s="1"/>
  <c r="B15" i="1"/>
  <c r="C15" i="1" s="1"/>
  <c r="B12" i="1"/>
  <c r="D12" i="1" s="1"/>
  <c r="B9" i="1"/>
  <c r="D9" i="1" s="1"/>
  <c r="B17" i="1"/>
  <c r="C17" i="1" s="1"/>
  <c r="B8" i="1"/>
  <c r="C8" i="1" s="1"/>
  <c r="B13" i="1"/>
  <c r="C13" i="1" s="1"/>
  <c r="B16" i="1"/>
  <c r="C16" i="1" s="1"/>
  <c r="B10" i="1"/>
  <c r="C10" i="1" s="1"/>
  <c r="B21" i="1"/>
  <c r="D21" i="1" s="1"/>
  <c r="B20" i="1"/>
  <c r="D20" i="1" s="1"/>
  <c r="B18" i="1"/>
  <c r="C18" i="1" s="1"/>
  <c r="B14" i="1"/>
  <c r="C14" i="1" s="1"/>
  <c r="B11" i="1"/>
  <c r="C11" i="1" s="1"/>
  <c r="H6" i="2"/>
  <c r="I6" i="2" s="1"/>
  <c r="C7" i="1"/>
  <c r="B17" i="4" l="1"/>
  <c r="D17" i="4" s="1"/>
  <c r="B9" i="4"/>
  <c r="D9" i="4" s="1"/>
  <c r="B7" i="4"/>
  <c r="D7" i="4" s="1"/>
  <c r="B14" i="4"/>
  <c r="C14" i="4" s="1"/>
  <c r="B13" i="4"/>
  <c r="C13" i="4" s="1"/>
  <c r="B16" i="4"/>
  <c r="C16" i="4" s="1"/>
  <c r="B8" i="4"/>
  <c r="D8" i="4" s="1"/>
  <c r="B15" i="4"/>
  <c r="C15" i="4" s="1"/>
  <c r="B12" i="4"/>
  <c r="C12" i="4" s="1"/>
  <c r="B11" i="4"/>
  <c r="D11" i="4" s="1"/>
  <c r="B18" i="4"/>
  <c r="D18" i="4" s="1"/>
  <c r="B10" i="4"/>
  <c r="D10" i="4" s="1"/>
  <c r="D14" i="1"/>
  <c r="D15" i="1"/>
  <c r="C12" i="1"/>
  <c r="C19" i="1"/>
  <c r="D8" i="1"/>
  <c r="D17" i="1"/>
  <c r="C21" i="1"/>
  <c r="C9" i="1"/>
  <c r="D18" i="1"/>
  <c r="D13" i="1"/>
  <c r="D7" i="1"/>
  <c r="C20" i="1"/>
  <c r="D11" i="1"/>
  <c r="D16" i="1"/>
  <c r="D10" i="1"/>
  <c r="D14" i="4" l="1"/>
  <c r="C10" i="4"/>
  <c r="D13" i="4"/>
  <c r="C18" i="4"/>
  <c r="C8" i="4"/>
  <c r="C7" i="4"/>
  <c r="C9" i="4"/>
  <c r="D16" i="4"/>
  <c r="C17" i="4"/>
  <c r="D15" i="4"/>
  <c r="C11" i="4"/>
  <c r="D12" i="4"/>
</calcChain>
</file>

<file path=xl/sharedStrings.xml><?xml version="1.0" encoding="utf-8"?>
<sst xmlns="http://schemas.openxmlformats.org/spreadsheetml/2006/main" count="32" uniqueCount="22">
  <si>
    <t>Resultado</t>
  </si>
  <si>
    <t>Tramo</t>
  </si>
  <si>
    <t>Base mínima</t>
  </si>
  <si>
    <t>Autónomo individual o comunero trabajdor de CB</t>
  </si>
  <si>
    <t>Ingresos reales</t>
  </si>
  <si>
    <t>Mensual</t>
  </si>
  <si>
    <t>Ingresos reales estimados</t>
  </si>
  <si>
    <t>Cuota mínima</t>
  </si>
  <si>
    <t>Dividendos y otras retribuciones por participación en capital  sus sociedades o CBs</t>
  </si>
  <si>
    <t>Escala</t>
  </si>
  <si>
    <t>Base máxima</t>
  </si>
  <si>
    <t>Cuota máxima</t>
  </si>
  <si>
    <t>Gastos totales estimados</t>
  </si>
  <si>
    <t>Autónomo societario o comunero capitalista de CB</t>
  </si>
  <si>
    <t>Gastos de difícil justificación 7%, tope 2000€</t>
  </si>
  <si>
    <t>Gastos de difícil justificación 3%, tope 2000€</t>
  </si>
  <si>
    <t>Rendimientos autónomo individual (calculado arriba si hubiera)</t>
  </si>
  <si>
    <t>Cotizaciones anuales Régimen de Autónomos</t>
  </si>
  <si>
    <t>*Si conoces tu beneficio neto, ponlo en la casilla C3 y no pongas nada en la D3</t>
  </si>
  <si>
    <t>Ingresos/facturación estimada*</t>
  </si>
  <si>
    <t>ATENCIÓN: escribe "1" en la casilla C6 si eres autónomo societario sin ingresos de tu sociedad</t>
  </si>
  <si>
    <t>Salario bruto de tus propias sociedades (poner "1" si no tienes ingresos de tus sociedades)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</si>
</sst>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0" fillId="0" borderId="3" xfId="0" applyNumberFormat="1" applyBorder="1"/>
    <xf numFmtId="4" fontId="1" fillId="0" borderId="4" xfId="0" applyNumberFormat="1" applyFont="1" applyBorder="1"/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3" xfId="0" applyNumberFormat="1" applyFont="1" applyBorder="1"/>
    <xf numFmtId="4" fontId="2" fillId="6" borderId="8" xfId="0" applyNumberFormat="1" applyFont="1" applyFill="1" applyBorder="1"/>
    <xf numFmtId="4" fontId="2" fillId="6" borderId="2" xfId="0" applyNumberFormat="1" applyFont="1" applyFill="1" applyBorder="1"/>
    <xf numFmtId="2" fontId="3" fillId="7" borderId="1" xfId="0" applyNumberFormat="1" applyFont="1" applyFill="1" applyBorder="1"/>
    <xf numFmtId="2" fontId="3" fillId="7" borderId="3" xfId="0" applyNumberFormat="1" applyFont="1" applyFill="1" applyBorder="1"/>
    <xf numFmtId="2" fontId="3" fillId="7" borderId="9" xfId="0" applyNumberFormat="1" applyFont="1" applyFill="1" applyBorder="1"/>
    <xf numFmtId="2" fontId="3" fillId="7" borderId="4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740410</xdr:colOff>
      <xdr:row>0</xdr:row>
      <xdr:rowOff>101209</xdr:rowOff>
    </xdr:from>
    <xdr:to>
      <xdr:col>2</xdr:col>
      <xdr:colOff>481234</xdr:colOff>
      <xdr:row>0</xdr:row>
      <xdr:rowOff>889000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C8E4D0-866E-4672-2448-D95075640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0410" y="101209"/>
          <a:ext cx="2363374" cy="787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25400</xdr:rowOff>
    </xdr:from>
    <xdr:to>
      <xdr:col>5</xdr:col>
      <xdr:colOff>139700</xdr:colOff>
      <xdr:row>4</xdr:row>
      <xdr:rowOff>150283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CBAB34-AA49-49F0-9A37-0FC0678A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0" y="25400"/>
          <a:ext cx="2584450" cy="8614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5</xdr:col>
      <xdr:colOff>88900</xdr:colOff>
      <xdr:row>4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190A8E-22F5-A9B2-488F-D3835F43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550" y="0"/>
          <a:ext cx="2476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2DFA-18C1-41B9-917D-B7F995DF1AF5}">
  <sheetPr>
    <pageSetUpPr fitToPage="1"/>
  </sheetPr>
  <dimension ref="B1:J8"/>
  <sheetViews>
    <sheetView showGridLines="0" tabSelected="1" workbookViewId="0">
      <selection activeCell="F3" sqref="F3"/>
    </sheetView>
  </sheetViews>
  <sheetFormatPr baseColWidth="10" defaultColWidth="11.54296875" defaultRowHeight="14.5" x14ac:dyDescent="0.35"/>
  <cols>
    <col min="1" max="1" width="11.54296875" style="5"/>
    <col min="2" max="2" width="26" style="5" customWidth="1"/>
    <col min="3" max="3" width="19.1796875" style="5" customWidth="1"/>
    <col min="4" max="4" width="21" style="5" customWidth="1"/>
    <col min="5" max="5" width="17.1796875" style="5" customWidth="1"/>
    <col min="6" max="6" width="11.36328125" style="5" customWidth="1"/>
    <col min="7" max="7" width="18.90625" style="5" customWidth="1"/>
    <col min="8" max="8" width="14.36328125" style="5" customWidth="1"/>
    <col min="9" max="16384" width="11.54296875" style="5"/>
  </cols>
  <sheetData>
    <row r="1" spans="2:10" s="7" customFormat="1" ht="75" customHeight="1" thickBot="1" x14ac:dyDescent="0.4">
      <c r="B1" s="1"/>
    </row>
    <row r="2" spans="2:10" s="7" customFormat="1" ht="46.25" customHeight="1" x14ac:dyDescent="0.35">
      <c r="B2" s="13"/>
      <c r="C2" s="9" t="s">
        <v>19</v>
      </c>
      <c r="D2" s="9" t="s">
        <v>12</v>
      </c>
      <c r="E2" s="9" t="s">
        <v>17</v>
      </c>
      <c r="F2" s="9" t="s">
        <v>0</v>
      </c>
      <c r="G2" s="9" t="s">
        <v>14</v>
      </c>
      <c r="H2" s="9" t="s">
        <v>4</v>
      </c>
      <c r="I2" s="10" t="s">
        <v>5</v>
      </c>
    </row>
    <row r="3" spans="2:10" ht="29.5" thickBot="1" x14ac:dyDescent="0.4">
      <c r="B3" s="11" t="s">
        <v>3</v>
      </c>
      <c r="C3" s="6"/>
      <c r="D3" s="6"/>
      <c r="E3" s="6"/>
      <c r="F3" s="3">
        <f>C3-D3+E3</f>
        <v>0</v>
      </c>
      <c r="G3" s="3">
        <f>IF(F3*7%&lt;2000,F3*7%,2000)</f>
        <v>0</v>
      </c>
      <c r="H3" s="3">
        <f>F3-G3</f>
        <v>0</v>
      </c>
      <c r="I3" s="4">
        <f>H3/12</f>
        <v>0</v>
      </c>
    </row>
    <row r="4" spans="2:10" ht="15" thickBot="1" x14ac:dyDescent="0.4"/>
    <row r="5" spans="2:10" s="7" customFormat="1" ht="72.650000000000006" customHeight="1" x14ac:dyDescent="0.35">
      <c r="B5" s="12" t="s">
        <v>20</v>
      </c>
      <c r="C5" s="9" t="s">
        <v>21</v>
      </c>
      <c r="D5" s="9" t="s">
        <v>8</v>
      </c>
      <c r="E5" s="9" t="s">
        <v>0</v>
      </c>
      <c r="F5" s="9" t="s">
        <v>15</v>
      </c>
      <c r="G5" s="9" t="s">
        <v>16</v>
      </c>
      <c r="H5" s="9" t="s">
        <v>4</v>
      </c>
      <c r="I5" s="10" t="s">
        <v>5</v>
      </c>
      <c r="J5" s="8"/>
    </row>
    <row r="6" spans="2:10" ht="29.5" thickBot="1" x14ac:dyDescent="0.4">
      <c r="B6" s="11" t="s">
        <v>13</v>
      </c>
      <c r="C6" s="6"/>
      <c r="D6" s="6"/>
      <c r="E6" s="3">
        <f>C6+D6</f>
        <v>0</v>
      </c>
      <c r="F6" s="3">
        <f>IF(E6*3%&lt;2000,E6*7%,2000)</f>
        <v>0</v>
      </c>
      <c r="G6" s="3">
        <f>IF(E6&gt;0,H3,0)</f>
        <v>0</v>
      </c>
      <c r="H6" s="3">
        <f>E6-F6+G6</f>
        <v>0</v>
      </c>
      <c r="I6" s="4">
        <f>H6/12</f>
        <v>0</v>
      </c>
    </row>
    <row r="8" spans="2:10" x14ac:dyDescent="0.35">
      <c r="B8" s="32" t="s">
        <v>18</v>
      </c>
      <c r="C8" s="32"/>
      <c r="D8" s="32"/>
    </row>
  </sheetData>
  <sheetProtection algorithmName="SHA-512" hashValue="arhK4jr7ePNH3OTmcipHJTIPBvE77BiL05AHTzDk69ww1fMGI87WrVME939WiO33pgHXUqs/n5DOokQxpARnAw==" saltValue="TsoYtLBNQPSVPAVgDBGuPw==" spinCount="100000" sheet="1" objects="1" scenarios="1"/>
  <mergeCells count="1">
    <mergeCell ref="B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54B9-8070-4D89-9817-BDF8ED61C581}">
  <dimension ref="B5:H21"/>
  <sheetViews>
    <sheetView showGridLines="0" workbookViewId="0">
      <selection activeCell="I4" sqref="I4"/>
    </sheetView>
  </sheetViews>
  <sheetFormatPr baseColWidth="10" defaultRowHeight="14.5" x14ac:dyDescent="0.35"/>
  <cols>
    <col min="2" max="2" width="23" style="2" customWidth="1"/>
    <col min="3" max="3" width="18.36328125" style="2" customWidth="1"/>
    <col min="4" max="4" width="10.36328125" style="2" customWidth="1"/>
  </cols>
  <sheetData>
    <row r="5" spans="2:8" ht="15" thickBot="1" x14ac:dyDescent="0.4"/>
    <row r="6" spans="2:8" s="1" customFormat="1" ht="37.75" customHeight="1" x14ac:dyDescent="0.45">
      <c r="B6" s="14" t="s">
        <v>6</v>
      </c>
      <c r="C6" s="15" t="s">
        <v>9</v>
      </c>
      <c r="D6" s="15" t="s">
        <v>1</v>
      </c>
      <c r="E6" s="15" t="s">
        <v>2</v>
      </c>
      <c r="F6" s="15" t="s">
        <v>7</v>
      </c>
      <c r="G6" s="15" t="s">
        <v>10</v>
      </c>
      <c r="H6" s="16" t="s">
        <v>11</v>
      </c>
    </row>
    <row r="7" spans="2:8" ht="18.5" x14ac:dyDescent="0.45">
      <c r="B7" s="26">
        <f>IF(AND('Cálculo ingresos reales'!I3&lt;670.01,'Cálculo ingresos reales'!G6=0),'Cálculo ingresos reales'!I3,0)</f>
        <v>0</v>
      </c>
      <c r="C7" s="20">
        <f>IF(B7&gt;0,"REDUCIDA",0)</f>
        <v>0</v>
      </c>
      <c r="D7" s="22" t="str">
        <f>IF(B7&gt;0,"1","")</f>
        <v/>
      </c>
      <c r="E7" s="24">
        <v>751.63</v>
      </c>
      <c r="F7" s="28">
        <f>E7*30.6%</f>
        <v>229.99877999999998</v>
      </c>
      <c r="G7" s="24">
        <v>849.66</v>
      </c>
      <c r="H7" s="30">
        <f>G7*30.6%</f>
        <v>259.99595999999997</v>
      </c>
    </row>
    <row r="8" spans="2:8" ht="18.5" x14ac:dyDescent="0.45">
      <c r="B8" s="26">
        <f>IF(AND('Cálculo ingresos reales'!I3&lt;900.01,'Cálculo ingresos reales'!I3&gt;670,'Cálculo ingresos reales'!G6=0),'Cálculo ingresos reales'!I3,0)</f>
        <v>0</v>
      </c>
      <c r="C8" s="20">
        <f t="shared" ref="C8:C9" si="0">IF(B8&gt;0,"REDUCIDA",0)</f>
        <v>0</v>
      </c>
      <c r="D8" s="22" t="str">
        <f>IF(B8&gt;0,"2","")</f>
        <v/>
      </c>
      <c r="E8" s="24">
        <v>849.67</v>
      </c>
      <c r="F8" s="28">
        <f t="shared" ref="F8:F21" si="1">E8*30.6%</f>
        <v>259.99901999999997</v>
      </c>
      <c r="G8" s="24">
        <v>900</v>
      </c>
      <c r="H8" s="30">
        <f t="shared" ref="H8:H21" si="2">G8*30.6%</f>
        <v>275.39999999999998</v>
      </c>
    </row>
    <row r="9" spans="2:8" ht="18.5" x14ac:dyDescent="0.45">
      <c r="B9" s="26">
        <f>IF(AND('Cálculo ingresos reales'!I3&lt;1166.7,'Cálculo ingresos reales'!I3&gt;900,'Cálculo ingresos reales'!G6=0),'Cálculo ingresos reales'!I3,0)</f>
        <v>0</v>
      </c>
      <c r="C9" s="20">
        <f t="shared" si="0"/>
        <v>0</v>
      </c>
      <c r="D9" s="22" t="str">
        <f>IF(B9&gt;0,"3","")</f>
        <v/>
      </c>
      <c r="E9" s="24">
        <v>898.69</v>
      </c>
      <c r="F9" s="28">
        <f t="shared" si="1"/>
        <v>274.99914000000001</v>
      </c>
      <c r="G9" s="24">
        <v>1166.7</v>
      </c>
      <c r="H9" s="30">
        <f t="shared" si="2"/>
        <v>357.0102</v>
      </c>
    </row>
    <row r="10" spans="2:8" ht="18.5" x14ac:dyDescent="0.45">
      <c r="B10" s="26">
        <f>IF(AND('Cálculo ingresos reales'!I3&lt;1300.01,'Cálculo ingresos reales'!I3&gt;1166.69,'Cálculo ingresos reales'!G6=0),'Cálculo ingresos reales'!I3,0)</f>
        <v>0</v>
      </c>
      <c r="C10" s="20">
        <f>IF(B10&gt;0,"NORMAL",0)</f>
        <v>0</v>
      </c>
      <c r="D10" s="22" t="str">
        <f>IF(B10&gt;0,"1","")</f>
        <v/>
      </c>
      <c r="E10" s="24">
        <v>950.98</v>
      </c>
      <c r="F10" s="28">
        <f t="shared" si="1"/>
        <v>290.99988000000002</v>
      </c>
      <c r="G10" s="24">
        <v>1300</v>
      </c>
      <c r="H10" s="30">
        <f t="shared" si="2"/>
        <v>397.8</v>
      </c>
    </row>
    <row r="11" spans="2:8" ht="18.5" x14ac:dyDescent="0.45">
      <c r="B11" s="26">
        <f>IF(AND('Cálculo ingresos reales'!I3&lt;1500.01,'Cálculo ingresos reales'!I3&gt;1300,'Cálculo ingresos reales'!G6=0),'Cálculo ingresos reales'!I3,0)</f>
        <v>0</v>
      </c>
      <c r="C11" s="20">
        <f t="shared" ref="C11:C21" si="3">IF(B11&gt;0,"NORMAL",0)</f>
        <v>0</v>
      </c>
      <c r="D11" s="22" t="str">
        <f>IF(B11&gt;0,"2","")</f>
        <v/>
      </c>
      <c r="E11" s="24">
        <v>960.78</v>
      </c>
      <c r="F11" s="28">
        <f t="shared" si="1"/>
        <v>293.99867999999998</v>
      </c>
      <c r="G11" s="24">
        <v>1500</v>
      </c>
      <c r="H11" s="30">
        <f t="shared" si="2"/>
        <v>459</v>
      </c>
    </row>
    <row r="12" spans="2:8" ht="18.5" x14ac:dyDescent="0.45">
      <c r="B12" s="26">
        <f>IF(AND('Cálculo ingresos reales'!I3&lt;1700.01,'Cálculo ingresos reales'!I3&gt;1500,'Cálculo ingresos reales'!G6=0),'Cálculo ingresos reales'!I3,0)</f>
        <v>0</v>
      </c>
      <c r="C12" s="20">
        <f t="shared" si="3"/>
        <v>0</v>
      </c>
      <c r="D12" s="22" t="str">
        <f>IF(B12&gt;0,"3","")</f>
        <v/>
      </c>
      <c r="E12" s="24">
        <v>960.78</v>
      </c>
      <c r="F12" s="28">
        <f t="shared" si="1"/>
        <v>293.99867999999998</v>
      </c>
      <c r="G12" s="24">
        <v>1700</v>
      </c>
      <c r="H12" s="30">
        <f t="shared" si="2"/>
        <v>520.20000000000005</v>
      </c>
    </row>
    <row r="13" spans="2:8" ht="18.5" x14ac:dyDescent="0.45">
      <c r="B13" s="26">
        <f>IF(AND('Cálculo ingresos reales'!I3&lt;1850.01,'Cálculo ingresos reales'!I3&gt;1700,'Cálculo ingresos reales'!G6=0),'Cálculo ingresos reales'!I3,0)</f>
        <v>0</v>
      </c>
      <c r="C13" s="20">
        <f t="shared" si="3"/>
        <v>0</v>
      </c>
      <c r="D13" s="22" t="str">
        <f>IF(B13&gt;0,"4","")</f>
        <v/>
      </c>
      <c r="E13" s="24">
        <v>1013.07</v>
      </c>
      <c r="F13" s="28">
        <f t="shared" si="1"/>
        <v>309.99941999999999</v>
      </c>
      <c r="G13" s="24">
        <v>1850</v>
      </c>
      <c r="H13" s="30">
        <f t="shared" si="2"/>
        <v>566.1</v>
      </c>
    </row>
    <row r="14" spans="2:8" ht="18.5" x14ac:dyDescent="0.45">
      <c r="B14" s="26">
        <f>IF(AND('Cálculo ingresos reales'!I3&lt;2030.01,'Cálculo ingresos reales'!I3&gt;1850,'Cálculo ingresos reales'!G6=0),'Cálculo ingresos reales'!I3,0)</f>
        <v>0</v>
      </c>
      <c r="C14" s="20">
        <f t="shared" si="3"/>
        <v>0</v>
      </c>
      <c r="D14" s="22" t="str">
        <f>IF(B14&gt;0,"5","")</f>
        <v/>
      </c>
      <c r="E14" s="24">
        <v>1029.4100000000001</v>
      </c>
      <c r="F14" s="28">
        <f t="shared" si="1"/>
        <v>314.99946</v>
      </c>
      <c r="G14" s="24">
        <v>2030</v>
      </c>
      <c r="H14" s="30">
        <f t="shared" si="2"/>
        <v>621.17999999999995</v>
      </c>
    </row>
    <row r="15" spans="2:8" ht="18.5" x14ac:dyDescent="0.45">
      <c r="B15" s="26">
        <f>IF(AND('Cálculo ingresos reales'!I3&lt;2330.01,'Cálculo ingresos reales'!I3&gt;2030,'Cálculo ingresos reales'!G6=0),'Cálculo ingresos reales'!I3,0)</f>
        <v>0</v>
      </c>
      <c r="C15" s="20">
        <f t="shared" si="3"/>
        <v>0</v>
      </c>
      <c r="D15" s="22" t="str">
        <f>IF(B15&gt;0,"6","")</f>
        <v/>
      </c>
      <c r="E15" s="24">
        <v>1045.75</v>
      </c>
      <c r="F15" s="28">
        <f t="shared" si="1"/>
        <v>319.99950000000001</v>
      </c>
      <c r="G15" s="24">
        <v>2330</v>
      </c>
      <c r="H15" s="30">
        <f t="shared" si="2"/>
        <v>712.98</v>
      </c>
    </row>
    <row r="16" spans="2:8" ht="18.5" x14ac:dyDescent="0.45">
      <c r="B16" s="26">
        <f>IF(AND('Cálculo ingresos reales'!I3&lt;2760.01,'Cálculo ingresos reales'!I3&gt;2330,'Cálculo ingresos reales'!G6=0),'Cálculo ingresos reales'!I3,0)</f>
        <v>0</v>
      </c>
      <c r="C16" s="20">
        <f t="shared" si="3"/>
        <v>0</v>
      </c>
      <c r="D16" s="22" t="str">
        <f>IF(B16&gt;0,"7","")</f>
        <v/>
      </c>
      <c r="E16" s="24">
        <v>1078.43</v>
      </c>
      <c r="F16" s="28">
        <f t="shared" si="1"/>
        <v>329.99958000000004</v>
      </c>
      <c r="G16" s="24">
        <v>2760</v>
      </c>
      <c r="H16" s="30">
        <f t="shared" si="2"/>
        <v>844.56</v>
      </c>
    </row>
    <row r="17" spans="2:8" ht="18.5" x14ac:dyDescent="0.45">
      <c r="B17" s="26">
        <f>IF(AND('Cálculo ingresos reales'!I3&lt;3190.01,'Cálculo ingresos reales'!I3&gt;2760,'Cálculo ingresos reales'!G6=0),'Cálculo ingresos reales'!I3,0)</f>
        <v>0</v>
      </c>
      <c r="C17" s="20">
        <f t="shared" si="3"/>
        <v>0</v>
      </c>
      <c r="D17" s="22" t="str">
        <f>IF(B17&gt;0,"8","")</f>
        <v/>
      </c>
      <c r="E17" s="24">
        <v>1143.79</v>
      </c>
      <c r="F17" s="28">
        <f t="shared" si="1"/>
        <v>349.99973999999997</v>
      </c>
      <c r="G17" s="24">
        <v>3190</v>
      </c>
      <c r="H17" s="30">
        <f t="shared" si="2"/>
        <v>976.14</v>
      </c>
    </row>
    <row r="18" spans="2:8" ht="18.5" x14ac:dyDescent="0.45">
      <c r="B18" s="26">
        <f>IF(AND('Cálculo ingresos reales'!I3&lt;3620.01,'Cálculo ingresos reales'!I3&gt;3190,'Cálculo ingresos reales'!G6=0),'Cálculo ingresos reales'!I3,0)</f>
        <v>0</v>
      </c>
      <c r="C18" s="20">
        <f t="shared" si="3"/>
        <v>0</v>
      </c>
      <c r="D18" s="22" t="str">
        <f>IF(B18&gt;0,"9","")</f>
        <v/>
      </c>
      <c r="E18" s="24">
        <v>1209.1500000000001</v>
      </c>
      <c r="F18" s="28">
        <f t="shared" si="1"/>
        <v>369.99990000000003</v>
      </c>
      <c r="G18" s="24">
        <v>3620</v>
      </c>
      <c r="H18" s="30">
        <f t="shared" si="2"/>
        <v>1107.72</v>
      </c>
    </row>
    <row r="19" spans="2:8" ht="18.5" x14ac:dyDescent="0.45">
      <c r="B19" s="26">
        <f>IF(AND('Cálculo ingresos reales'!I3&lt;4050.01,'Cálculo ingresos reales'!I3&gt;3620,'Cálculo ingresos reales'!G6=0),'Cálculo ingresos reales'!I3,0)</f>
        <v>0</v>
      </c>
      <c r="C19" s="20">
        <f t="shared" si="3"/>
        <v>0</v>
      </c>
      <c r="D19" s="22" t="str">
        <f>IF(B19&gt;0,"10","")</f>
        <v/>
      </c>
      <c r="E19" s="24">
        <v>1274.51</v>
      </c>
      <c r="F19" s="28">
        <f t="shared" si="1"/>
        <v>390.00005999999996</v>
      </c>
      <c r="G19" s="24">
        <v>4050</v>
      </c>
      <c r="H19" s="30">
        <f t="shared" si="2"/>
        <v>1239.3</v>
      </c>
    </row>
    <row r="20" spans="2:8" ht="18.5" x14ac:dyDescent="0.45">
      <c r="B20" s="26">
        <f>IF(AND('Cálculo ingresos reales'!I3&lt;6000.01,'Cálculo ingresos reales'!I3&gt;4050,'Cálculo ingresos reales'!G6=0),'Cálculo ingresos reales'!I3,0)</f>
        <v>0</v>
      </c>
      <c r="C20" s="20">
        <f t="shared" si="3"/>
        <v>0</v>
      </c>
      <c r="D20" s="22" t="str">
        <f>IF(B20&gt;0,"11","")</f>
        <v/>
      </c>
      <c r="E20" s="24">
        <v>1372.55</v>
      </c>
      <c r="F20" s="28">
        <f t="shared" si="1"/>
        <v>420.00029999999998</v>
      </c>
      <c r="G20" s="24">
        <v>4139.3999999999996</v>
      </c>
      <c r="H20" s="30">
        <f t="shared" si="2"/>
        <v>1266.6563999999998</v>
      </c>
    </row>
    <row r="21" spans="2:8" ht="19" thickBot="1" x14ac:dyDescent="0.5">
      <c r="B21" s="27">
        <f>IF(AND('Cálculo ingresos reales'!I3&gt;6000,'Cálculo ingresos reales'!G6=0),'Cálculo ingresos reales'!I3,0)</f>
        <v>0</v>
      </c>
      <c r="C21" s="21">
        <f t="shared" si="3"/>
        <v>0</v>
      </c>
      <c r="D21" s="23" t="str">
        <f>IF(B21&gt;0,"12","")</f>
        <v/>
      </c>
      <c r="E21" s="25">
        <v>1633.99</v>
      </c>
      <c r="F21" s="29">
        <f t="shared" si="1"/>
        <v>500.00094000000001</v>
      </c>
      <c r="G21" s="25">
        <v>4139.3999999999996</v>
      </c>
      <c r="H21" s="31">
        <f t="shared" si="2"/>
        <v>1266.6563999999998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359E-4CA9-431F-9360-BCA915365CDF}">
  <dimension ref="B5:H18"/>
  <sheetViews>
    <sheetView showGridLines="0" workbookViewId="0">
      <selection activeCell="H5" sqref="H5"/>
    </sheetView>
  </sheetViews>
  <sheetFormatPr baseColWidth="10" defaultRowHeight="14.5" x14ac:dyDescent="0.35"/>
  <cols>
    <col min="2" max="2" width="23" style="2" customWidth="1"/>
    <col min="3" max="3" width="18.36328125" style="2" customWidth="1"/>
    <col min="4" max="4" width="10.36328125" style="2" customWidth="1"/>
  </cols>
  <sheetData>
    <row r="5" spans="2:8" ht="15" thickBot="1" x14ac:dyDescent="0.4"/>
    <row r="6" spans="2:8" s="1" customFormat="1" ht="37.75" customHeight="1" x14ac:dyDescent="0.45">
      <c r="B6" s="17" t="s">
        <v>6</v>
      </c>
      <c r="C6" s="18" t="s">
        <v>9</v>
      </c>
      <c r="D6" s="18" t="s">
        <v>1</v>
      </c>
      <c r="E6" s="18" t="s">
        <v>2</v>
      </c>
      <c r="F6" s="18" t="s">
        <v>7</v>
      </c>
      <c r="G6" s="18" t="s">
        <v>10</v>
      </c>
      <c r="H6" s="19" t="s">
        <v>11</v>
      </c>
    </row>
    <row r="7" spans="2:8" ht="18.5" x14ac:dyDescent="0.45">
      <c r="B7" s="26">
        <f>IF('Cálculo ingresos reales'!I6&lt;1300.01,'Cálculo ingresos reales'!I6,0)</f>
        <v>0</v>
      </c>
      <c r="C7" s="20">
        <f>IF(B7&gt;0,"NORMAL",0)</f>
        <v>0</v>
      </c>
      <c r="D7" s="22" t="str">
        <f>IF(B7&gt;0,"1","")</f>
        <v/>
      </c>
      <c r="E7" s="24">
        <v>1000</v>
      </c>
      <c r="F7" s="28">
        <f t="shared" ref="F7:F18" si="0">E7*30.6%</f>
        <v>306</v>
      </c>
      <c r="G7" s="24">
        <v>1300</v>
      </c>
      <c r="H7" s="30">
        <f t="shared" ref="H7:H18" si="1">G7*30.6%</f>
        <v>397.8</v>
      </c>
    </row>
    <row r="8" spans="2:8" ht="18.5" x14ac:dyDescent="0.45">
      <c r="B8" s="26">
        <f>IF(AND('Cálculo ingresos reales'!I6&lt;1500.01,'Cálculo ingresos reales'!I6&gt;1300),'Cálculo ingresos reales'!I6,0)</f>
        <v>0</v>
      </c>
      <c r="C8" s="20">
        <f t="shared" ref="C8:C18" si="2">IF(B8&gt;0,"NORMAL",0)</f>
        <v>0</v>
      </c>
      <c r="D8" s="22" t="str">
        <f>IF(B8&gt;0,"2","")</f>
        <v/>
      </c>
      <c r="E8" s="24">
        <v>1000</v>
      </c>
      <c r="F8" s="28">
        <f t="shared" si="0"/>
        <v>306</v>
      </c>
      <c r="G8" s="24">
        <v>1500</v>
      </c>
      <c r="H8" s="30">
        <f t="shared" si="1"/>
        <v>459</v>
      </c>
    </row>
    <row r="9" spans="2:8" ht="18.5" x14ac:dyDescent="0.45">
      <c r="B9" s="26">
        <f>IF(AND('Cálculo ingresos reales'!I6&lt;1700.01,'Cálculo ingresos reales'!I6&gt;1500),'Cálculo ingresos reales'!I6,0)</f>
        <v>0</v>
      </c>
      <c r="C9" s="20">
        <f t="shared" si="2"/>
        <v>0</v>
      </c>
      <c r="D9" s="22" t="str">
        <f>IF(B9&gt;0,"3","")</f>
        <v/>
      </c>
      <c r="E9" s="24">
        <v>1000</v>
      </c>
      <c r="F9" s="28">
        <f t="shared" si="0"/>
        <v>306</v>
      </c>
      <c r="G9" s="24">
        <v>1700</v>
      </c>
      <c r="H9" s="30">
        <f t="shared" si="1"/>
        <v>520.20000000000005</v>
      </c>
    </row>
    <row r="10" spans="2:8" ht="18.5" x14ac:dyDescent="0.45">
      <c r="B10" s="26">
        <f>IF(AND('Cálculo ingresos reales'!I6&lt;1850.01,'Cálculo ingresos reales'!I6&gt;1700),'Cálculo ingresos reales'!I6,0)</f>
        <v>0</v>
      </c>
      <c r="C10" s="20">
        <f t="shared" si="2"/>
        <v>0</v>
      </c>
      <c r="D10" s="22" t="str">
        <f>IF(B10&gt;0,"4","")</f>
        <v/>
      </c>
      <c r="E10" s="24">
        <v>1013.07</v>
      </c>
      <c r="F10" s="28">
        <f t="shared" si="0"/>
        <v>309.99941999999999</v>
      </c>
      <c r="G10" s="24">
        <v>1850</v>
      </c>
      <c r="H10" s="30">
        <f t="shared" si="1"/>
        <v>566.1</v>
      </c>
    </row>
    <row r="11" spans="2:8" ht="18.5" x14ac:dyDescent="0.45">
      <c r="B11" s="26">
        <f>IF(AND('Cálculo ingresos reales'!I6&lt;2030.01,'Cálculo ingresos reales'!I6&gt;1850),'Cálculo ingresos reales'!I6,0)</f>
        <v>0</v>
      </c>
      <c r="C11" s="20">
        <f t="shared" si="2"/>
        <v>0</v>
      </c>
      <c r="D11" s="22" t="str">
        <f>IF(B11&gt;0,"5","")</f>
        <v/>
      </c>
      <c r="E11" s="24">
        <v>1029.4100000000001</v>
      </c>
      <c r="F11" s="28">
        <f t="shared" si="0"/>
        <v>314.99946</v>
      </c>
      <c r="G11" s="24">
        <v>2030</v>
      </c>
      <c r="H11" s="30">
        <f t="shared" si="1"/>
        <v>621.17999999999995</v>
      </c>
    </row>
    <row r="12" spans="2:8" ht="18.5" x14ac:dyDescent="0.45">
      <c r="B12" s="26">
        <f>IF(AND('Cálculo ingresos reales'!I6&lt;2330.01,'Cálculo ingresos reales'!I6&gt;2030),'Cálculo ingresos reales'!I6,0)</f>
        <v>0</v>
      </c>
      <c r="C12" s="20">
        <f t="shared" si="2"/>
        <v>0</v>
      </c>
      <c r="D12" s="22" t="str">
        <f>IF(B12&gt;0,"6","")</f>
        <v/>
      </c>
      <c r="E12" s="24">
        <v>1045.75</v>
      </c>
      <c r="F12" s="28">
        <f t="shared" si="0"/>
        <v>319.99950000000001</v>
      </c>
      <c r="G12" s="24">
        <v>2330</v>
      </c>
      <c r="H12" s="30">
        <f t="shared" si="1"/>
        <v>712.98</v>
      </c>
    </row>
    <row r="13" spans="2:8" ht="18.5" x14ac:dyDescent="0.45">
      <c r="B13" s="26">
        <f>IF(AND('Cálculo ingresos reales'!I6&lt;2760.01,'Cálculo ingresos reales'!I6&gt;2330),'Cálculo ingresos reales'!I6,0)</f>
        <v>0</v>
      </c>
      <c r="C13" s="20">
        <f t="shared" si="2"/>
        <v>0</v>
      </c>
      <c r="D13" s="22" t="str">
        <f>IF(B13&gt;0,"7","")</f>
        <v/>
      </c>
      <c r="E13" s="24">
        <v>1078.43</v>
      </c>
      <c r="F13" s="28">
        <f t="shared" si="0"/>
        <v>329.99958000000004</v>
      </c>
      <c r="G13" s="24">
        <v>2760</v>
      </c>
      <c r="H13" s="30">
        <f t="shared" si="1"/>
        <v>844.56</v>
      </c>
    </row>
    <row r="14" spans="2:8" ht="18.5" x14ac:dyDescent="0.45">
      <c r="B14" s="26">
        <f>IF(AND('Cálculo ingresos reales'!I6&lt;3190.01,'Cálculo ingresos reales'!I6&gt;2760),'Cálculo ingresos reales'!I6,0)</f>
        <v>0</v>
      </c>
      <c r="C14" s="20">
        <f t="shared" si="2"/>
        <v>0</v>
      </c>
      <c r="D14" s="22" t="str">
        <f>IF(B14&gt;0,"8","")</f>
        <v/>
      </c>
      <c r="E14" s="24">
        <v>1143.79</v>
      </c>
      <c r="F14" s="28">
        <f t="shared" si="0"/>
        <v>349.99973999999997</v>
      </c>
      <c r="G14" s="24">
        <v>3190</v>
      </c>
      <c r="H14" s="30">
        <f t="shared" si="1"/>
        <v>976.14</v>
      </c>
    </row>
    <row r="15" spans="2:8" ht="18.5" x14ac:dyDescent="0.45">
      <c r="B15" s="26">
        <f>IF(AND('Cálculo ingresos reales'!I6&lt;3620.01,'Cálculo ingresos reales'!I6&gt;3190),'Cálculo ingresos reales'!I6,0)</f>
        <v>0</v>
      </c>
      <c r="C15" s="20">
        <f t="shared" si="2"/>
        <v>0</v>
      </c>
      <c r="D15" s="22" t="str">
        <f>IF(B15&gt;0,"9","")</f>
        <v/>
      </c>
      <c r="E15" s="24">
        <v>1209.1500000000001</v>
      </c>
      <c r="F15" s="28">
        <f t="shared" si="0"/>
        <v>369.99990000000003</v>
      </c>
      <c r="G15" s="24">
        <v>3620</v>
      </c>
      <c r="H15" s="30">
        <f t="shared" si="1"/>
        <v>1107.72</v>
      </c>
    </row>
    <row r="16" spans="2:8" ht="18.5" x14ac:dyDescent="0.45">
      <c r="B16" s="26">
        <f>IF(AND('Cálculo ingresos reales'!I6&lt;4050.01,'Cálculo ingresos reales'!I6&gt;3620),'Cálculo ingresos reales'!I6,0)</f>
        <v>0</v>
      </c>
      <c r="C16" s="20">
        <f t="shared" si="2"/>
        <v>0</v>
      </c>
      <c r="D16" s="22" t="str">
        <f>IF(B16&gt;0,"10","")</f>
        <v/>
      </c>
      <c r="E16" s="24">
        <v>1274.51</v>
      </c>
      <c r="F16" s="28">
        <f t="shared" si="0"/>
        <v>390.00005999999996</v>
      </c>
      <c r="G16" s="24">
        <v>4050</v>
      </c>
      <c r="H16" s="30">
        <f t="shared" si="1"/>
        <v>1239.3</v>
      </c>
    </row>
    <row r="17" spans="2:8" ht="18.5" x14ac:dyDescent="0.45">
      <c r="B17" s="26">
        <f>IF(AND('Cálculo ingresos reales'!I6&lt;6000.01,'Cálculo ingresos reales'!I6&gt;4050),'Cálculo ingresos reales'!I6,0)</f>
        <v>0</v>
      </c>
      <c r="C17" s="20">
        <f t="shared" si="2"/>
        <v>0</v>
      </c>
      <c r="D17" s="22" t="str">
        <f>IF(B17&gt;0,"11","")</f>
        <v/>
      </c>
      <c r="E17" s="24">
        <v>1372.55</v>
      </c>
      <c r="F17" s="28">
        <f t="shared" si="0"/>
        <v>420.00029999999998</v>
      </c>
      <c r="G17" s="24">
        <v>4139.3999999999996</v>
      </c>
      <c r="H17" s="30">
        <f t="shared" si="1"/>
        <v>1266.6563999999998</v>
      </c>
    </row>
    <row r="18" spans="2:8" ht="19" thickBot="1" x14ac:dyDescent="0.5">
      <c r="B18" s="27">
        <f>IF('Cálculo ingresos reales'!I6&gt;6000,'Cálculo ingresos reales'!I6,0)</f>
        <v>0</v>
      </c>
      <c r="C18" s="21">
        <f t="shared" si="2"/>
        <v>0</v>
      </c>
      <c r="D18" s="23" t="str">
        <f>IF(B18&gt;0,"12","")</f>
        <v/>
      </c>
      <c r="E18" s="25">
        <v>1633.99</v>
      </c>
      <c r="F18" s="29">
        <f t="shared" si="0"/>
        <v>500.00094000000001</v>
      </c>
      <c r="G18" s="25">
        <v>4139.3999999999996</v>
      </c>
      <c r="H18" s="31">
        <f t="shared" si="1"/>
        <v>1266.6563999999998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ingresos reales</vt:lpstr>
      <vt:lpstr> Cuotas autónomo individual</vt:lpstr>
      <vt:lpstr> Cuotas autónomo societario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Blanco</dc:creator>
  <cp:lastModifiedBy>Josep Salvá Grimalt</cp:lastModifiedBy>
  <cp:lastPrinted>2022-12-17T11:48:51Z</cp:lastPrinted>
  <dcterms:created xsi:type="dcterms:W3CDTF">2022-11-24T09:03:19Z</dcterms:created>
  <dcterms:modified xsi:type="dcterms:W3CDTF">2022-12-17T11:52:45Z</dcterms:modified>
</cp:coreProperties>
</file>